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1742F82B-D031-4784-9B47-35D8BEE83CA7}" xr6:coauthVersionLast="37" xr6:coauthVersionMax="37" xr10:uidLastSave="{00000000-0000-0000-0000-000000000000}"/>
  <bookViews>
    <workbookView xWindow="0" yWindow="0" windowWidth="28800" windowHeight="11505" activeTab="1" xr2:uid="{00000000-000D-0000-FFFF-FFFF00000000}"/>
  </bookViews>
  <sheets>
    <sheet name="Хизмат сафари" sheetId="7" r:id="rId1"/>
    <sheet name="мансабдор шахслар хизмат сафари" sheetId="8" r:id="rId2"/>
  </sheets>
  <calcPr calcId="179021"/>
</workbook>
</file>

<file path=xl/calcChain.xml><?xml version="1.0" encoding="utf-8"?>
<calcChain xmlns="http://schemas.openxmlformats.org/spreadsheetml/2006/main">
  <c r="K36" i="8" l="1"/>
  <c r="K8" i="8" s="1"/>
  <c r="H36" i="8"/>
  <c r="I36" i="8"/>
  <c r="J36" i="8"/>
  <c r="G36" i="8"/>
  <c r="K38" i="8"/>
  <c r="K39" i="8"/>
  <c r="K37" i="8"/>
  <c r="F17" i="7"/>
  <c r="G16" i="7"/>
  <c r="F16" i="7"/>
  <c r="E16" i="7"/>
  <c r="I16" i="7" s="1"/>
  <c r="H5" i="7"/>
  <c r="K56" i="8" l="1"/>
  <c r="K55" i="8"/>
  <c r="K54" i="8"/>
  <c r="K53" i="8"/>
  <c r="K52" i="8"/>
  <c r="K35" i="8"/>
  <c r="I32" i="8"/>
  <c r="K31" i="8"/>
  <c r="K32" i="8"/>
  <c r="K33" i="8"/>
  <c r="K34" i="8"/>
  <c r="I31" i="8"/>
  <c r="K30" i="8"/>
  <c r="I15" i="7"/>
  <c r="I17" i="7"/>
  <c r="F12" i="7" l="1"/>
  <c r="F13" i="7"/>
  <c r="F9" i="7"/>
  <c r="F14" i="7"/>
  <c r="G9" i="8"/>
  <c r="I9" i="8"/>
  <c r="K29" i="8"/>
  <c r="G14" i="7"/>
  <c r="E14" i="7"/>
  <c r="C14" i="7"/>
  <c r="H41" i="8"/>
  <c r="G50" i="8"/>
  <c r="K50" i="8" s="1"/>
  <c r="K25" i="8"/>
  <c r="G12" i="7"/>
  <c r="E12" i="7"/>
  <c r="C12" i="7"/>
  <c r="G13" i="7"/>
  <c r="E13" i="7"/>
  <c r="C13" i="7"/>
  <c r="K26" i="8"/>
  <c r="K28" i="8"/>
  <c r="K27" i="8"/>
  <c r="I8" i="8" l="1"/>
  <c r="G8" i="8"/>
  <c r="I14" i="7"/>
  <c r="I13" i="7"/>
  <c r="I12" i="7"/>
  <c r="K41" i="8"/>
  <c r="K42" i="8"/>
  <c r="K43" i="8"/>
  <c r="K44" i="8"/>
  <c r="K45" i="8"/>
  <c r="F6" i="7" l="1"/>
  <c r="F11" i="7"/>
  <c r="E11" i="7"/>
  <c r="F10" i="7"/>
  <c r="G10" i="7"/>
  <c r="E10" i="7"/>
  <c r="I10" i="7" s="1"/>
  <c r="C10" i="7"/>
  <c r="G9" i="7"/>
  <c r="E9" i="7"/>
  <c r="I9" i="7" s="1"/>
  <c r="C9" i="7"/>
  <c r="I11" i="7" l="1"/>
  <c r="I49" i="8"/>
  <c r="K49" i="8" s="1"/>
  <c r="K48" i="8"/>
  <c r="K23" i="8"/>
  <c r="K18" i="8"/>
  <c r="I22" i="8"/>
  <c r="K22" i="8" s="1"/>
  <c r="I17" i="8"/>
  <c r="K17" i="8" s="1"/>
  <c r="K21" i="8"/>
  <c r="I20" i="8"/>
  <c r="K20" i="8" s="1"/>
  <c r="K24" i="8"/>
  <c r="K19" i="8"/>
  <c r="F8" i="7" l="1"/>
  <c r="F7" i="7"/>
  <c r="F5" i="7" s="1"/>
  <c r="G8" i="7"/>
  <c r="E8" i="7"/>
  <c r="C8" i="7"/>
  <c r="G16" i="8"/>
  <c r="K16" i="8" s="1"/>
  <c r="G7" i="7"/>
  <c r="E7" i="7"/>
  <c r="I7" i="7" s="1"/>
  <c r="C7" i="7"/>
  <c r="I10" i="8"/>
  <c r="G10" i="8"/>
  <c r="K11" i="8"/>
  <c r="G6" i="7"/>
  <c r="E6" i="7"/>
  <c r="C6" i="7"/>
  <c r="C5" i="7" s="1"/>
  <c r="I46" i="8"/>
  <c r="I13" i="8"/>
  <c r="I6" i="7" l="1"/>
  <c r="E5" i="7"/>
  <c r="G5" i="7"/>
  <c r="J9" i="8"/>
  <c r="H9" i="8"/>
  <c r="J8" i="8" l="1"/>
  <c r="K51" i="8"/>
  <c r="K47" i="8"/>
  <c r="K46" i="8"/>
  <c r="K15" i="8" l="1"/>
  <c r="I8" i="7" l="1"/>
  <c r="I5" i="7" s="1"/>
  <c r="K14" i="8"/>
  <c r="K13" i="8"/>
  <c r="K12" i="8"/>
  <c r="H8" i="8" l="1"/>
  <c r="K10" i="8"/>
  <c r="K9" i="8" s="1"/>
</calcChain>
</file>

<file path=xl/sharedStrings.xml><?xml version="1.0" encoding="utf-8"?>
<sst xmlns="http://schemas.openxmlformats.org/spreadsheetml/2006/main" count="139" uniqueCount="104">
  <si>
    <t>№</t>
  </si>
  <si>
    <t>ой</t>
  </si>
  <si>
    <t>хизмат сафарининг мақсади</t>
  </si>
  <si>
    <t>кундалик харажатларини қоплаш</t>
  </si>
  <si>
    <t>йўл кира харажатларини қоплаш</t>
  </si>
  <si>
    <t>турар жой ижараси</t>
  </si>
  <si>
    <t>бюджет маблағлари ҳисобидан</t>
  </si>
  <si>
    <t>бюджетдан ташқари маблағлар ҳисобидан</t>
  </si>
  <si>
    <t>январь</t>
  </si>
  <si>
    <t>февраль</t>
  </si>
  <si>
    <t>март</t>
  </si>
  <si>
    <t>хизмат сафарининг сони</t>
  </si>
  <si>
    <t>Ҳукумат топшириқларининг ижросини таъминлаш</t>
  </si>
  <si>
    <t>ЖАМИ</t>
  </si>
  <si>
    <t>сўм</t>
  </si>
  <si>
    <t>Ф.И.О</t>
  </si>
  <si>
    <t>эгаллаб турган лавозими</t>
  </si>
  <si>
    <t>Хизмат сафари буйруғи рақами</t>
  </si>
  <si>
    <t>Хизмат сафари манзили</t>
  </si>
  <si>
    <t>Хизмат сафари даври
(кун)</t>
  </si>
  <si>
    <t>яшаш харажатлари</t>
  </si>
  <si>
    <t>Транспорт харажатлари</t>
  </si>
  <si>
    <t>кунлик харажатлар</t>
  </si>
  <si>
    <t>Жами харажатлар</t>
  </si>
  <si>
    <t>ўз маблағлари ҳисобидан</t>
  </si>
  <si>
    <t>ташкилот маблағлари ҳисобидан</t>
  </si>
  <si>
    <t>ҲАММАСИ</t>
  </si>
  <si>
    <t>Ортиков А.Ж.</t>
  </si>
  <si>
    <t>директор</t>
  </si>
  <si>
    <t>Самарканд вилоятига</t>
  </si>
  <si>
    <t>Андижон вилоятига</t>
  </si>
  <si>
    <t>Кашкадарё вилоятига</t>
  </si>
  <si>
    <t>Миралиев А.Э.</t>
  </si>
  <si>
    <t>Усманов Б.Ш.</t>
  </si>
  <si>
    <t>Хоразм вилоятига</t>
  </si>
  <si>
    <t>Сурхандаре вилоятига</t>
  </si>
  <si>
    <t>Бухоро вилоятига</t>
  </si>
  <si>
    <t>30.01.23 йилдаги №09-хс-сон</t>
  </si>
  <si>
    <t>08.02.23 йилдаги №08-хс-сон</t>
  </si>
  <si>
    <t>Жиззах вилоятига</t>
  </si>
  <si>
    <t xml:space="preserve">13.02.23 йилдаги №12-хс-сон </t>
  </si>
  <si>
    <t>15.02.23 йилдаги №15-хс-сон</t>
  </si>
  <si>
    <t>19.02.23 йилдаги № 19-хс-сон</t>
  </si>
  <si>
    <t>04.01.23 йилдаги №01-хс-сон</t>
  </si>
  <si>
    <t>Бухоро  вилоятига</t>
  </si>
  <si>
    <t>25.01.23 йилдаги №07-хс-сон</t>
  </si>
  <si>
    <t>11.01.23 йилдаги №03-хс-сон</t>
  </si>
  <si>
    <t>Сингапур</t>
  </si>
  <si>
    <t>27.02.23 йилдаги № 20-хс-сон</t>
  </si>
  <si>
    <t>Германия Федератив Республикасига</t>
  </si>
  <si>
    <t>Швейцарияга</t>
  </si>
  <si>
    <t>24.03.23 йилдаги № 27-хс-сон</t>
  </si>
  <si>
    <t>Наманган вилоятига</t>
  </si>
  <si>
    <t>16.05.23 йилдаги № 51-хс-сон</t>
  </si>
  <si>
    <t>28.03.23 йилдаги № 30-хс-сон</t>
  </si>
  <si>
    <t>Хоразм вилоятига ва Қорақалпоғистон Республикасига</t>
  </si>
  <si>
    <t>11.03.23 йилдаги № 23-хс-сон</t>
  </si>
  <si>
    <t>Сурхондарё вилоятига</t>
  </si>
  <si>
    <t>14.04.23 йилдаги № 36-хс-сон</t>
  </si>
  <si>
    <t>04.04.23 йилдаги № 36-хс-сон</t>
  </si>
  <si>
    <t>14.03.23 йилдаги № 24-хс-сон</t>
  </si>
  <si>
    <t>20.04.23 йилдаги № 41-хс-сон</t>
  </si>
  <si>
    <t>20.02.23 йилдаги №17-хс-сон</t>
  </si>
  <si>
    <t>03.03.23 йилдаги №21-хс-сон</t>
  </si>
  <si>
    <t>10.03.23 йилдаги №21-хсз-сон</t>
  </si>
  <si>
    <t>апрель</t>
  </si>
  <si>
    <t>май</t>
  </si>
  <si>
    <t>июнь</t>
  </si>
  <si>
    <t>июль</t>
  </si>
  <si>
    <t>август</t>
  </si>
  <si>
    <t>08.08.23 йилдаги № 81-хс-сон</t>
  </si>
  <si>
    <t>14.08.23 йилдаги № 83-хс-сон</t>
  </si>
  <si>
    <t>Қирғиз Республикасига</t>
  </si>
  <si>
    <t>25.07.23 йилдаги № 73-хс-сон</t>
  </si>
  <si>
    <t>Фарғона вилоятига</t>
  </si>
  <si>
    <t>06.07.23 йилдаги № 70-хс-сон</t>
  </si>
  <si>
    <t>31.07.23 йилдаги №76-хс-сон</t>
  </si>
  <si>
    <t>АҚШ</t>
  </si>
  <si>
    <t>сентябрь</t>
  </si>
  <si>
    <t>28.08.23 йилдаги № 90-хс-сон</t>
  </si>
  <si>
    <t>04.09.23 йилдаги № 94-хс-сон</t>
  </si>
  <si>
    <t xml:space="preserve">директор ўринбосари </t>
  </si>
  <si>
    <t>октябрь</t>
  </si>
  <si>
    <t>ноябрь</t>
  </si>
  <si>
    <t>декабрь</t>
  </si>
  <si>
    <t>06.10.23 йилдаги № 105-хс-сон</t>
  </si>
  <si>
    <t>17.10.23 йилдаги № 108-хс-сон</t>
  </si>
  <si>
    <t>20.10.23 йилдаги № 110-хс-сон</t>
  </si>
  <si>
    <t>13.11.23 йилдаги № 329ХДФУ-сон</t>
  </si>
  <si>
    <t>30.11.23 йилдаги № 123-хс-сон</t>
  </si>
  <si>
    <t>11.12.23 йилдаги № 127-хс-сон</t>
  </si>
  <si>
    <t>21.09.23 йилдаги № 101-хс-сон</t>
  </si>
  <si>
    <t>Қорақалпоғистон Республикасига</t>
  </si>
  <si>
    <t>Кадиров М.У.</t>
  </si>
  <si>
    <t>12.12.23 йилдаги № 128-хс-сон</t>
  </si>
  <si>
    <t>Ўзбекистон Республикаси Давлат активларини бошқариш агентлиги ходимларининг 2023 йилнинг январь-декабрь ойлари давомида хизмат сафари харажатлари тўғрисида 
МАЪЛУМОТ</t>
  </si>
  <si>
    <t>Хусанов Н.Д.</t>
  </si>
  <si>
    <t>директорнинг биринчи ўринбосари</t>
  </si>
  <si>
    <t>10.11.23 йилдаги № 115-хс-сон</t>
  </si>
  <si>
    <t>Саудия Арабистонига</t>
  </si>
  <si>
    <t>19.12.23 йилдаги № 133-хс-сон</t>
  </si>
  <si>
    <t>Туркияга</t>
  </si>
  <si>
    <t>22.12.23 йилдаги № 135-хс-сон</t>
  </si>
  <si>
    <t>Ўзбекистон Республикаси Давлат активларини бошқариш агентлиги мансабдор шахсларини 2023 йил январь-декабрь ойларидаги хизмат сафари харажатлари тўғрисида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</si>
</sst>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2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/>
    <xf numFmtId="0" fontId="2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0"/>
  <sheetViews>
    <sheetView zoomScale="70" zoomScaleNormal="70" workbookViewId="0">
      <pane ySplit="4" topLeftCell="A14" activePane="bottomLeft" state="frozen"/>
      <selection pane="bottomLeft" activeCell="E19" sqref="E19:J23"/>
    </sheetView>
  </sheetViews>
  <sheetFormatPr defaultRowHeight="15" x14ac:dyDescent="0.25"/>
  <cols>
    <col min="2" max="2" width="20.42578125" customWidth="1"/>
    <col min="3" max="3" width="22.42578125" customWidth="1"/>
    <col min="4" max="4" width="20.5703125" customWidth="1"/>
    <col min="5" max="5" width="22.5703125" customWidth="1"/>
    <col min="6" max="6" width="22.85546875" customWidth="1"/>
    <col min="7" max="8" width="18.7109375" customWidth="1"/>
    <col min="9" max="9" width="26" customWidth="1"/>
    <col min="10" max="10" width="20.140625" customWidth="1"/>
    <col min="11" max="11" width="20.5703125" customWidth="1"/>
    <col min="12" max="12" width="23.85546875" customWidth="1"/>
    <col min="13" max="13" width="14.42578125" customWidth="1"/>
  </cols>
  <sheetData>
    <row r="2" spans="1:13" ht="104.25" customHeight="1" x14ac:dyDescent="0.25">
      <c r="A2" s="27" t="s">
        <v>95</v>
      </c>
      <c r="B2" s="27"/>
      <c r="C2" s="27"/>
      <c r="D2" s="27"/>
      <c r="E2" s="27"/>
      <c r="F2" s="27"/>
      <c r="G2" s="27"/>
      <c r="H2" s="27"/>
      <c r="I2" s="27"/>
    </row>
    <row r="3" spans="1:13" ht="15.75" x14ac:dyDescent="0.25">
      <c r="I3" s="7" t="s">
        <v>14</v>
      </c>
    </row>
    <row r="4" spans="1:13" ht="58.5" customHeight="1" x14ac:dyDescent="0.25">
      <c r="A4" s="1" t="s">
        <v>0</v>
      </c>
      <c r="B4" s="1" t="s">
        <v>1</v>
      </c>
      <c r="C4" s="1" t="s">
        <v>11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13" ht="58.5" customHeight="1" x14ac:dyDescent="0.25">
      <c r="A5" s="28" t="s">
        <v>13</v>
      </c>
      <c r="B5" s="29"/>
      <c r="C5" s="1">
        <f>SUM(C6:C11)</f>
        <v>67</v>
      </c>
      <c r="D5" s="1"/>
      <c r="E5" s="5">
        <f>SUM(E6:E17)</f>
        <v>58479262</v>
      </c>
      <c r="F5" s="5">
        <f t="shared" ref="F5:G5" si="0">SUM(F6:F17)</f>
        <v>341029579.78000003</v>
      </c>
      <c r="G5" s="5">
        <f t="shared" si="0"/>
        <v>136481665</v>
      </c>
      <c r="H5" s="5">
        <f t="shared" ref="H5" si="1">SUM(H6:H17)</f>
        <v>18599510</v>
      </c>
      <c r="I5" s="5">
        <f>SUM(I6:I17)</f>
        <v>517390996.78000003</v>
      </c>
      <c r="J5" s="13"/>
      <c r="K5" s="13"/>
      <c r="L5" s="11"/>
      <c r="M5" s="11"/>
    </row>
    <row r="6" spans="1:13" ht="86.25" customHeight="1" x14ac:dyDescent="0.25">
      <c r="A6" s="2">
        <v>1</v>
      </c>
      <c r="B6" s="2" t="s">
        <v>8</v>
      </c>
      <c r="C6" s="2">
        <f>1+1+1+1+1</f>
        <v>5</v>
      </c>
      <c r="D6" s="3" t="s">
        <v>12</v>
      </c>
      <c r="E6" s="4">
        <f>120000+3667272+4062600+4062600</f>
        <v>11912472</v>
      </c>
      <c r="F6" s="4">
        <f>422540+1026145+35819292-1119737+17710200+14348132+17710200+14348132+37518820-36649081</f>
        <v>101134643</v>
      </c>
      <c r="G6" s="12">
        <f>21945449+12214924+12214924</f>
        <v>46375297</v>
      </c>
      <c r="H6" s="4">
        <v>1568685</v>
      </c>
      <c r="I6" s="4">
        <f>E6+F6+G6-H6</f>
        <v>157853727</v>
      </c>
      <c r="J6" s="11"/>
      <c r="K6" s="11"/>
      <c r="L6" s="11"/>
    </row>
    <row r="7" spans="1:13" ht="86.25" customHeight="1" x14ac:dyDescent="0.25">
      <c r="A7" s="2">
        <v>2</v>
      </c>
      <c r="B7" s="2" t="s">
        <v>9</v>
      </c>
      <c r="C7" s="2">
        <f>3+1+2+1+1+1+1+1+1+1</f>
        <v>13</v>
      </c>
      <c r="D7" s="3" t="s">
        <v>12</v>
      </c>
      <c r="E7" s="4">
        <f>120000+240000+300000+60000+150000+150000+150000+60000+30000+60000+30000+2413796+2911922</f>
        <v>6675718</v>
      </c>
      <c r="F7" s="4">
        <f>529805+337805+105000+105000+782390+282000+12690618+777242+1139312-752407</f>
        <v>15996765</v>
      </c>
      <c r="G7" s="4">
        <f>250000+350000+220000+250000+1350000+400000+270000+878875+6275870+972000+7401136+9221087</f>
        <v>27838968</v>
      </c>
      <c r="H7" s="4">
        <v>6708468</v>
      </c>
      <c r="I7" s="4">
        <f>E7+F7+G7-H7</f>
        <v>43802983</v>
      </c>
      <c r="J7" s="11"/>
      <c r="K7" s="11"/>
      <c r="L7" s="11"/>
    </row>
    <row r="8" spans="1:13" ht="86.25" customHeight="1" x14ac:dyDescent="0.25">
      <c r="A8" s="16">
        <v>3</v>
      </c>
      <c r="B8" s="16" t="s">
        <v>10</v>
      </c>
      <c r="C8" s="16">
        <f>1+1+1+1+1</f>
        <v>5</v>
      </c>
      <c r="D8" s="14" t="s">
        <v>12</v>
      </c>
      <c r="E8" s="17">
        <f>120000+180000+150000+150000+240000+6779112+5894880</f>
        <v>13513992</v>
      </c>
      <c r="F8" s="17">
        <f>476473+1057674+500000+500000+14351101+17382845+22115603</f>
        <v>56383696</v>
      </c>
      <c r="G8" s="17">
        <f>7585974+377000+101000+6638494+377000+101000</f>
        <v>15180468</v>
      </c>
      <c r="H8" s="17">
        <v>3374147</v>
      </c>
      <c r="I8" s="17">
        <f t="shared" ref="I8:I11" si="2">E8+F8+G8-H8</f>
        <v>81704009</v>
      </c>
      <c r="J8" s="11"/>
      <c r="K8" s="11"/>
      <c r="L8" s="11"/>
    </row>
    <row r="9" spans="1:13" s="18" customFormat="1" ht="85.5" customHeight="1" x14ac:dyDescent="0.25">
      <c r="A9" s="2">
        <v>4</v>
      </c>
      <c r="B9" s="2" t="s">
        <v>65</v>
      </c>
      <c r="C9" s="16">
        <f>8+11</f>
        <v>19</v>
      </c>
      <c r="D9" s="14" t="s">
        <v>12</v>
      </c>
      <c r="E9" s="17">
        <f>150000+120000+90000+30000+60000+180000+120000+90000+90000+90000+90000+90000+60000+90000+90000+90000+180000+60000+60000</f>
        <v>1830000</v>
      </c>
      <c r="F9" s="17">
        <f>773034+1207198+146000+1349014+806999+947093+554469+954549+291193+238000+105000+254000+85500+85500+85500+85500+85500+85500+94530+94530+85500+85500+85500+85500+169200+85500+85500-2227559.7</f>
        <v>6783249.2999999998</v>
      </c>
      <c r="G9" s="17">
        <f>1200000+580000+900000+180000+480000+1640000+800000</f>
        <v>5780000</v>
      </c>
      <c r="H9" s="17">
        <v>4919210</v>
      </c>
      <c r="I9" s="17">
        <f t="shared" si="2"/>
        <v>9474039.3000000007</v>
      </c>
    </row>
    <row r="10" spans="1:13" s="18" customFormat="1" ht="75" customHeight="1" x14ac:dyDescent="0.25">
      <c r="A10" s="2">
        <v>5</v>
      </c>
      <c r="B10" s="2" t="s">
        <v>66</v>
      </c>
      <c r="C10" s="16">
        <f>10</f>
        <v>10</v>
      </c>
      <c r="D10" s="14" t="s">
        <v>12</v>
      </c>
      <c r="E10" s="17">
        <f>66000+33000+66000+33000+33000+132000+165000+198000+165000+60000+99000</f>
        <v>1050000</v>
      </c>
      <c r="F10" s="17">
        <f>204000+369053+326911+627390+326911+1164495+476066+149622+873021+910978+123570+123570+90291+93291+128150+173000+326000</f>
        <v>6486319</v>
      </c>
      <c r="G10" s="17">
        <f>1400000+60000</f>
        <v>1460000</v>
      </c>
      <c r="H10" s="17">
        <v>2029000</v>
      </c>
      <c r="I10" s="17">
        <f t="shared" si="2"/>
        <v>6967319</v>
      </c>
    </row>
    <row r="11" spans="1:13" s="18" customFormat="1" ht="74.25" customHeight="1" x14ac:dyDescent="0.25">
      <c r="A11" s="2">
        <v>6</v>
      </c>
      <c r="B11" s="2" t="s">
        <v>67</v>
      </c>
      <c r="C11" s="2">
        <v>15</v>
      </c>
      <c r="D11" s="3" t="s">
        <v>12</v>
      </c>
      <c r="E11" s="4">
        <f>33000+33000+132000+99000+33000+165000+396000+165000+165000+396000+198000+165000+99000+198000+165000</f>
        <v>2442000</v>
      </c>
      <c r="F11" s="4">
        <f>740442+609163+627390+326911+860375+868135+555332+609163+627390+326911+627390+238000+102808+893000+1002376+893064+627390+238000+1476262+404428+269311+127490+116490+369053+562393+172084+93291+76000+76000-3249680.7</f>
        <v>11266361.300000001</v>
      </c>
      <c r="G11" s="4"/>
      <c r="H11" s="4"/>
      <c r="I11" s="4">
        <f t="shared" si="2"/>
        <v>13708361.300000001</v>
      </c>
    </row>
    <row r="12" spans="1:13" ht="75" x14ac:dyDescent="0.25">
      <c r="A12" s="2">
        <v>7</v>
      </c>
      <c r="B12" s="2" t="s">
        <v>68</v>
      </c>
      <c r="C12" s="2">
        <f>1+1+1+1+1+1+1+1+1+1</f>
        <v>10</v>
      </c>
      <c r="D12" s="3" t="s">
        <v>12</v>
      </c>
      <c r="E12" s="4">
        <f>165000+33000+165000+165000+198000+165000+165000+99000+2378041+66000</f>
        <v>3599041</v>
      </c>
      <c r="F12" s="4">
        <f>1352516+474000+1476262+1349605+954301.48+1164495+1164495+40253706</f>
        <v>48189380.480000004</v>
      </c>
      <c r="G12" s="4">
        <f>1620000+8367947+600000</f>
        <v>10587947</v>
      </c>
      <c r="H12" s="4"/>
      <c r="I12" s="4">
        <f t="shared" ref="I12" si="3">E12+F12+G12-H12</f>
        <v>62376368.480000004</v>
      </c>
      <c r="K12" s="11"/>
    </row>
    <row r="13" spans="1:13" ht="75" x14ac:dyDescent="0.25">
      <c r="A13" s="2">
        <v>8</v>
      </c>
      <c r="B13" s="2" t="s">
        <v>69</v>
      </c>
      <c r="C13" s="2">
        <f>1+1+1</f>
        <v>3</v>
      </c>
      <c r="D13" s="3" t="s">
        <v>12</v>
      </c>
      <c r="E13" s="4">
        <f>99000+725340+1813350</f>
        <v>2637690</v>
      </c>
      <c r="F13" s="4">
        <f>589223+3836662+4002087.7</f>
        <v>8427972.6999999993</v>
      </c>
      <c r="G13" s="4">
        <f>1800000+2620895+5414517</f>
        <v>9835412</v>
      </c>
      <c r="H13" s="4"/>
      <c r="I13" s="4">
        <f t="shared" ref="I13" si="4">E13+F13+G13-H13</f>
        <v>20901074.699999999</v>
      </c>
      <c r="K13" s="11"/>
      <c r="L13" s="11"/>
    </row>
    <row r="14" spans="1:13" ht="75" x14ac:dyDescent="0.25">
      <c r="A14" s="2">
        <v>9</v>
      </c>
      <c r="B14" s="2" t="s">
        <v>78</v>
      </c>
      <c r="C14" s="2">
        <f>1+1</f>
        <v>2</v>
      </c>
      <c r="D14" s="3" t="s">
        <v>12</v>
      </c>
      <c r="E14" s="4">
        <f>132000+99000</f>
        <v>231000</v>
      </c>
      <c r="F14" s="4">
        <f>282000+575017+282000</f>
        <v>1139017</v>
      </c>
      <c r="G14" s="4">
        <f>1207500+600000</f>
        <v>1807500</v>
      </c>
      <c r="H14" s="4"/>
      <c r="I14" s="4">
        <f t="shared" ref="I14:I17" si="5">E14+F14+G14-H14</f>
        <v>3177517</v>
      </c>
      <c r="J14" s="13"/>
      <c r="K14" s="11"/>
    </row>
    <row r="15" spans="1:13" ht="73.5" customHeight="1" x14ac:dyDescent="0.25">
      <c r="A15" s="24">
        <v>10</v>
      </c>
      <c r="B15" s="2" t="s">
        <v>82</v>
      </c>
      <c r="C15" s="2">
        <v>19</v>
      </c>
      <c r="D15" s="3" t="s">
        <v>12</v>
      </c>
      <c r="E15" s="4">
        <v>3828000</v>
      </c>
      <c r="F15" s="4">
        <v>22913602</v>
      </c>
      <c r="G15" s="4">
        <v>1000000</v>
      </c>
      <c r="H15" s="4"/>
      <c r="I15" s="4">
        <f>E15+F15+G15-H15</f>
        <v>27741602</v>
      </c>
    </row>
    <row r="16" spans="1:13" ht="69" customHeight="1" x14ac:dyDescent="0.25">
      <c r="A16" s="26">
        <v>11</v>
      </c>
      <c r="B16" s="2" t="s">
        <v>83</v>
      </c>
      <c r="C16" s="2">
        <v>9</v>
      </c>
      <c r="D16" s="3" t="s">
        <v>12</v>
      </c>
      <c r="E16" s="4">
        <f>1023000+2318073+1796527+1182217+3808532</f>
        <v>10128349</v>
      </c>
      <c r="F16" s="4">
        <f>5417728+10294250+10035407</f>
        <v>25747385</v>
      </c>
      <c r="G16" s="4">
        <f>4641000+6181528+5043545</f>
        <v>15866073</v>
      </c>
      <c r="H16" s="4"/>
      <c r="I16" s="4">
        <f>E16+F16+G16-H16</f>
        <v>51741807</v>
      </c>
      <c r="J16" s="11"/>
    </row>
    <row r="17" spans="1:10" ht="72.75" customHeight="1" x14ac:dyDescent="0.25">
      <c r="A17" s="25">
        <v>12</v>
      </c>
      <c r="B17" s="2" t="s">
        <v>84</v>
      </c>
      <c r="C17" s="2">
        <v>6</v>
      </c>
      <c r="D17" s="3" t="s">
        <v>12</v>
      </c>
      <c r="E17" s="4">
        <v>631000</v>
      </c>
      <c r="F17" s="4">
        <f>3802765+8320501+9967297+10279736+4190890</f>
        <v>36561189</v>
      </c>
      <c r="G17" s="4">
        <v>750000</v>
      </c>
      <c r="H17" s="4"/>
      <c r="I17" s="4">
        <f t="shared" si="5"/>
        <v>37942189</v>
      </c>
    </row>
    <row r="18" spans="1:10" x14ac:dyDescent="0.25">
      <c r="I18" s="11"/>
    </row>
    <row r="19" spans="1:10" x14ac:dyDescent="0.25">
      <c r="I19" s="11"/>
      <c r="J19" s="11"/>
    </row>
    <row r="20" spans="1:10" x14ac:dyDescent="0.25">
      <c r="E20" s="21"/>
      <c r="F20" s="19"/>
      <c r="G20" s="19"/>
      <c r="H20" s="22"/>
      <c r="I20" s="11"/>
    </row>
    <row r="21" spans="1:10" x14ac:dyDescent="0.25">
      <c r="E21" s="21"/>
      <c r="F21" s="19"/>
      <c r="G21" s="19"/>
      <c r="H21" s="22"/>
    </row>
    <row r="39" spans="5:8" ht="18.75" x14ac:dyDescent="0.3">
      <c r="E39" s="19"/>
      <c r="F39" s="19"/>
      <c r="G39" s="19"/>
      <c r="H39" s="20"/>
    </row>
    <row r="40" spans="5:8" ht="18.75" x14ac:dyDescent="0.3">
      <c r="H40" s="20"/>
    </row>
  </sheetData>
  <mergeCells count="2">
    <mergeCell ref="A2:I2"/>
    <mergeCell ref="A5:B5"/>
  </mergeCells>
  <pageMargins left="0.11811023622047245" right="0.11811023622047245" top="0.15748031496062992" bottom="0.19685039370078741" header="0.11811023622047245" footer="0.19685039370078741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56"/>
  <sheetViews>
    <sheetView tabSelected="1" topLeftCell="A31" zoomScale="40" zoomScaleNormal="40" workbookViewId="0">
      <selection activeCell="F72" sqref="F72"/>
    </sheetView>
  </sheetViews>
  <sheetFormatPr defaultRowHeight="15" x14ac:dyDescent="0.25"/>
  <cols>
    <col min="1" max="1" width="6.42578125" customWidth="1"/>
    <col min="2" max="3" width="22.28515625" customWidth="1"/>
    <col min="4" max="4" width="20.85546875" customWidth="1"/>
    <col min="5" max="5" width="21.5703125" customWidth="1"/>
    <col min="6" max="6" width="20.28515625" customWidth="1"/>
    <col min="7" max="7" width="18.7109375" customWidth="1"/>
    <col min="8" max="9" width="23.5703125" customWidth="1"/>
    <col min="10" max="10" width="20.7109375" customWidth="1"/>
    <col min="11" max="11" width="21.7109375" customWidth="1"/>
  </cols>
  <sheetData>
    <row r="3" spans="1:11" ht="20.25" customHeight="1" x14ac:dyDescent="0.3">
      <c r="A3" s="37" t="s">
        <v>103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5" spans="1:11" ht="15.75" x14ac:dyDescent="0.25">
      <c r="K5" s="7" t="s">
        <v>14</v>
      </c>
    </row>
    <row r="6" spans="1:11" ht="18.75" customHeight="1" x14ac:dyDescent="0.25">
      <c r="A6" s="30" t="s">
        <v>0</v>
      </c>
      <c r="B6" s="30" t="s">
        <v>15</v>
      </c>
      <c r="C6" s="30" t="s">
        <v>16</v>
      </c>
      <c r="D6" s="30" t="s">
        <v>17</v>
      </c>
      <c r="E6" s="30" t="s">
        <v>18</v>
      </c>
      <c r="F6" s="30" t="s">
        <v>19</v>
      </c>
      <c r="G6" s="30" t="s">
        <v>20</v>
      </c>
      <c r="H6" s="28" t="s">
        <v>21</v>
      </c>
      <c r="I6" s="29"/>
      <c r="J6" s="30" t="s">
        <v>22</v>
      </c>
      <c r="K6" s="30" t="s">
        <v>23</v>
      </c>
    </row>
    <row r="7" spans="1:11" ht="56.25" x14ac:dyDescent="0.25">
      <c r="A7" s="39"/>
      <c r="B7" s="39"/>
      <c r="C7" s="39"/>
      <c r="D7" s="39"/>
      <c r="E7" s="39"/>
      <c r="F7" s="39"/>
      <c r="G7" s="39"/>
      <c r="H7" s="6" t="s">
        <v>24</v>
      </c>
      <c r="I7" s="1" t="s">
        <v>25</v>
      </c>
      <c r="J7" s="39"/>
      <c r="K7" s="39"/>
    </row>
    <row r="8" spans="1:11" ht="18.75" customHeight="1" x14ac:dyDescent="0.25">
      <c r="A8" s="36" t="s">
        <v>26</v>
      </c>
      <c r="B8" s="36"/>
      <c r="C8" s="36"/>
      <c r="D8" s="36"/>
      <c r="E8" s="36"/>
      <c r="F8" s="36"/>
      <c r="G8" s="8">
        <f>+G9+G36</f>
        <v>86612527</v>
      </c>
      <c r="H8" s="8">
        <f>+H9+H36</f>
        <v>1728240</v>
      </c>
      <c r="I8" s="8">
        <f>+I9+I36</f>
        <v>134261502</v>
      </c>
      <c r="J8" s="8">
        <f>+J9+J36</f>
        <v>31414608</v>
      </c>
      <c r="K8" s="8">
        <f>+K9+K36</f>
        <v>254016877</v>
      </c>
    </row>
    <row r="9" spans="1:11" ht="18.75" customHeight="1" x14ac:dyDescent="0.25">
      <c r="A9" s="36" t="s">
        <v>13</v>
      </c>
      <c r="B9" s="36"/>
      <c r="C9" s="36"/>
      <c r="D9" s="36"/>
      <c r="E9" s="36"/>
      <c r="F9" s="36"/>
      <c r="G9" s="8">
        <f>SUM(G10:G35)</f>
        <v>61098443</v>
      </c>
      <c r="H9" s="8">
        <f>SUM(H10:H35)</f>
        <v>871223</v>
      </c>
      <c r="I9" s="8">
        <f>SUM(I10:I35)</f>
        <v>47328455</v>
      </c>
      <c r="J9" s="8">
        <f>SUM(J10:J35)</f>
        <v>9194534</v>
      </c>
      <c r="K9" s="8">
        <f>SUM(K10:K35)</f>
        <v>118492655</v>
      </c>
    </row>
    <row r="10" spans="1:11" ht="37.5" x14ac:dyDescent="0.25">
      <c r="A10" s="33">
        <v>1</v>
      </c>
      <c r="B10" s="33" t="s">
        <v>27</v>
      </c>
      <c r="C10" s="33" t="s">
        <v>28</v>
      </c>
      <c r="D10" s="3" t="s">
        <v>46</v>
      </c>
      <c r="E10" s="3" t="s">
        <v>47</v>
      </c>
      <c r="F10" s="3">
        <v>6</v>
      </c>
      <c r="G10" s="9">
        <f>21945450</f>
        <v>21945450</v>
      </c>
      <c r="H10" s="10"/>
      <c r="I10" s="10">
        <f>35819292-1119737</f>
        <v>34699555</v>
      </c>
      <c r="J10" s="9">
        <v>3667272</v>
      </c>
      <c r="K10" s="9">
        <f>G10+H10+J10+I10</f>
        <v>60312277</v>
      </c>
    </row>
    <row r="11" spans="1:11" ht="37.5" x14ac:dyDescent="0.25">
      <c r="A11" s="40"/>
      <c r="B11" s="40"/>
      <c r="C11" s="40"/>
      <c r="D11" s="3" t="s">
        <v>37</v>
      </c>
      <c r="E11" s="3" t="s">
        <v>30</v>
      </c>
      <c r="F11" s="3">
        <v>5</v>
      </c>
      <c r="G11" s="9">
        <v>1350000</v>
      </c>
      <c r="H11" s="10"/>
      <c r="I11" s="10"/>
      <c r="J11" s="9">
        <v>150000</v>
      </c>
      <c r="K11" s="9">
        <f>G11+H11+J11+I11</f>
        <v>1500000</v>
      </c>
    </row>
    <row r="12" spans="1:11" ht="37.5" x14ac:dyDescent="0.25">
      <c r="A12" s="40"/>
      <c r="B12" s="40"/>
      <c r="C12" s="40"/>
      <c r="D12" s="3" t="s">
        <v>38</v>
      </c>
      <c r="E12" s="3" t="s">
        <v>39</v>
      </c>
      <c r="F12" s="3">
        <v>2</v>
      </c>
      <c r="G12" s="9">
        <v>270000</v>
      </c>
      <c r="H12" s="10"/>
      <c r="I12" s="10"/>
      <c r="J12" s="9">
        <v>60000</v>
      </c>
      <c r="K12" s="9">
        <f t="shared" ref="K12:K51" si="0">G12+H12+J12+I12</f>
        <v>330000</v>
      </c>
    </row>
    <row r="13" spans="1:11" ht="37.5" x14ac:dyDescent="0.25">
      <c r="A13" s="40"/>
      <c r="B13" s="40"/>
      <c r="C13" s="40"/>
      <c r="D13" s="3" t="s">
        <v>40</v>
      </c>
      <c r="E13" s="3" t="s">
        <v>34</v>
      </c>
      <c r="F13" s="3">
        <v>1</v>
      </c>
      <c r="G13" s="9"/>
      <c r="H13" s="10"/>
      <c r="I13" s="10">
        <f>1466073+1466073</f>
        <v>2932146</v>
      </c>
      <c r="J13" s="9">
        <v>30000</v>
      </c>
      <c r="K13" s="9">
        <f t="shared" si="0"/>
        <v>2962146</v>
      </c>
    </row>
    <row r="14" spans="1:11" ht="37.5" x14ac:dyDescent="0.25">
      <c r="A14" s="40"/>
      <c r="B14" s="40"/>
      <c r="C14" s="40"/>
      <c r="D14" s="3" t="s">
        <v>41</v>
      </c>
      <c r="E14" s="3" t="s">
        <v>36</v>
      </c>
      <c r="F14" s="3">
        <v>2</v>
      </c>
      <c r="G14" s="9">
        <v>878875</v>
      </c>
      <c r="H14" s="10"/>
      <c r="I14" s="10">
        <v>328000</v>
      </c>
      <c r="J14" s="9">
        <v>30000</v>
      </c>
      <c r="K14" s="9">
        <f t="shared" si="0"/>
        <v>1236875</v>
      </c>
    </row>
    <row r="15" spans="1:11" ht="37.5" x14ac:dyDescent="0.25">
      <c r="A15" s="40"/>
      <c r="B15" s="40"/>
      <c r="C15" s="40"/>
      <c r="D15" s="3" t="s">
        <v>42</v>
      </c>
      <c r="E15" s="3" t="s">
        <v>31</v>
      </c>
      <c r="F15" s="3">
        <v>2</v>
      </c>
      <c r="G15" s="9">
        <v>400000</v>
      </c>
      <c r="H15" s="10">
        <v>282000</v>
      </c>
      <c r="I15" s="10">
        <v>282000</v>
      </c>
      <c r="J15" s="9">
        <v>60000</v>
      </c>
      <c r="K15" s="9">
        <f t="shared" si="0"/>
        <v>1024000</v>
      </c>
    </row>
    <row r="16" spans="1:11" ht="56.25" x14ac:dyDescent="0.25">
      <c r="A16" s="40"/>
      <c r="B16" s="40"/>
      <c r="C16" s="40"/>
      <c r="D16" s="3" t="s">
        <v>48</v>
      </c>
      <c r="E16" s="3" t="s">
        <v>49</v>
      </c>
      <c r="F16" s="3">
        <v>5</v>
      </c>
      <c r="G16" s="9">
        <f>7401136+9221087</f>
        <v>16622223</v>
      </c>
      <c r="H16" s="10"/>
      <c r="I16" s="10"/>
      <c r="J16" s="9">
        <v>2911922</v>
      </c>
      <c r="K16" s="9">
        <f t="shared" si="0"/>
        <v>19534145</v>
      </c>
    </row>
    <row r="17" spans="1:11" ht="37.5" x14ac:dyDescent="0.25">
      <c r="A17" s="40"/>
      <c r="B17" s="40"/>
      <c r="C17" s="40"/>
      <c r="D17" s="3" t="s">
        <v>56</v>
      </c>
      <c r="E17" s="3" t="s">
        <v>57</v>
      </c>
      <c r="F17" s="3">
        <v>1</v>
      </c>
      <c r="G17" s="9"/>
      <c r="H17" s="10"/>
      <c r="I17" s="10">
        <f>1349014+806999</f>
        <v>2156013</v>
      </c>
      <c r="J17" s="9">
        <v>30000</v>
      </c>
      <c r="K17" s="9">
        <f t="shared" si="0"/>
        <v>2186013</v>
      </c>
    </row>
    <row r="18" spans="1:11" ht="37.5" x14ac:dyDescent="0.25">
      <c r="A18" s="40"/>
      <c r="B18" s="40"/>
      <c r="C18" s="40"/>
      <c r="D18" s="3" t="s">
        <v>60</v>
      </c>
      <c r="E18" s="3" t="s">
        <v>52</v>
      </c>
      <c r="F18" s="3">
        <v>3</v>
      </c>
      <c r="G18" s="9">
        <v>580000</v>
      </c>
      <c r="H18" s="10"/>
      <c r="I18" s="10"/>
      <c r="J18" s="9">
        <v>60000</v>
      </c>
      <c r="K18" s="9">
        <f t="shared" si="0"/>
        <v>640000</v>
      </c>
    </row>
    <row r="19" spans="1:11" ht="37.5" x14ac:dyDescent="0.25">
      <c r="A19" s="40"/>
      <c r="B19" s="40"/>
      <c r="C19" s="40"/>
      <c r="D19" s="3" t="s">
        <v>51</v>
      </c>
      <c r="E19" s="3" t="s">
        <v>52</v>
      </c>
      <c r="F19" s="3">
        <v>4</v>
      </c>
      <c r="G19" s="9">
        <v>1200000</v>
      </c>
      <c r="H19" s="10"/>
      <c r="I19" s="10"/>
      <c r="J19" s="9">
        <v>120000</v>
      </c>
      <c r="K19" s="9">
        <f t="shared" si="0"/>
        <v>1320000</v>
      </c>
    </row>
    <row r="20" spans="1:11" ht="93.75" x14ac:dyDescent="0.25">
      <c r="A20" s="40"/>
      <c r="B20" s="40"/>
      <c r="C20" s="40"/>
      <c r="D20" s="3" t="s">
        <v>54</v>
      </c>
      <c r="E20" s="3" t="s">
        <v>55</v>
      </c>
      <c r="F20" s="3">
        <v>3</v>
      </c>
      <c r="G20" s="9">
        <v>900000</v>
      </c>
      <c r="H20" s="10"/>
      <c r="I20" s="10">
        <f>947093+554469+954550</f>
        <v>2456112</v>
      </c>
      <c r="J20" s="9">
        <v>90000</v>
      </c>
      <c r="K20" s="9">
        <f t="shared" si="0"/>
        <v>3446112</v>
      </c>
    </row>
    <row r="21" spans="1:11" ht="37.5" x14ac:dyDescent="0.25">
      <c r="A21" s="40"/>
      <c r="B21" s="40"/>
      <c r="C21" s="40"/>
      <c r="D21" s="3" t="s">
        <v>59</v>
      </c>
      <c r="E21" s="3" t="s">
        <v>52</v>
      </c>
      <c r="F21" s="3">
        <v>2</v>
      </c>
      <c r="G21" s="9">
        <v>480000</v>
      </c>
      <c r="H21" s="10"/>
      <c r="I21" s="10"/>
      <c r="J21" s="9">
        <v>60000</v>
      </c>
      <c r="K21" s="9">
        <f t="shared" si="0"/>
        <v>540000</v>
      </c>
    </row>
    <row r="22" spans="1:11" ht="37.5" x14ac:dyDescent="0.25">
      <c r="A22" s="40"/>
      <c r="B22" s="40"/>
      <c r="C22" s="40"/>
      <c r="D22" s="3" t="s">
        <v>58</v>
      </c>
      <c r="E22" s="3" t="s">
        <v>29</v>
      </c>
      <c r="F22" s="3">
        <v>2</v>
      </c>
      <c r="G22" s="9">
        <v>1640000</v>
      </c>
      <c r="H22" s="10"/>
      <c r="I22" s="10">
        <f>105000+254000</f>
        <v>359000</v>
      </c>
      <c r="J22" s="9">
        <v>60000</v>
      </c>
      <c r="K22" s="9">
        <f t="shared" si="0"/>
        <v>2059000</v>
      </c>
    </row>
    <row r="23" spans="1:11" ht="37.5" x14ac:dyDescent="0.25">
      <c r="A23" s="40"/>
      <c r="B23" s="40"/>
      <c r="C23" s="40"/>
      <c r="D23" s="3" t="s">
        <v>61</v>
      </c>
      <c r="E23" s="3" t="s">
        <v>52</v>
      </c>
      <c r="F23" s="3">
        <v>6</v>
      </c>
      <c r="G23" s="9">
        <v>800000</v>
      </c>
      <c r="H23" s="10"/>
      <c r="I23" s="10"/>
      <c r="J23" s="9">
        <v>180000</v>
      </c>
      <c r="K23" s="9">
        <f t="shared" si="0"/>
        <v>980000</v>
      </c>
    </row>
    <row r="24" spans="1:11" ht="45.75" customHeight="1" x14ac:dyDescent="0.25">
      <c r="A24" s="40"/>
      <c r="B24" s="40"/>
      <c r="C24" s="40"/>
      <c r="D24" s="3" t="s">
        <v>53</v>
      </c>
      <c r="E24" s="3" t="s">
        <v>29</v>
      </c>
      <c r="F24" s="3">
        <v>3</v>
      </c>
      <c r="G24" s="9">
        <v>1400000</v>
      </c>
      <c r="H24" s="10"/>
      <c r="I24" s="10">
        <v>204000</v>
      </c>
      <c r="J24" s="9">
        <v>99000</v>
      </c>
      <c r="K24" s="9">
        <f t="shared" si="0"/>
        <v>1703000</v>
      </c>
    </row>
    <row r="25" spans="1:11" ht="45.75" customHeight="1" x14ac:dyDescent="0.25">
      <c r="A25" s="40"/>
      <c r="B25" s="40"/>
      <c r="C25" s="40"/>
      <c r="D25" s="3" t="s">
        <v>75</v>
      </c>
      <c r="E25" s="3" t="s">
        <v>52</v>
      </c>
      <c r="F25" s="3">
        <v>2</v>
      </c>
      <c r="G25" s="9">
        <v>600000</v>
      </c>
      <c r="H25" s="10"/>
      <c r="I25" s="10"/>
      <c r="J25" s="9">
        <v>66000</v>
      </c>
      <c r="K25" s="9">
        <f t="shared" si="0"/>
        <v>666000</v>
      </c>
    </row>
    <row r="26" spans="1:11" ht="45.75" customHeight="1" x14ac:dyDescent="0.25">
      <c r="A26" s="40"/>
      <c r="B26" s="40"/>
      <c r="C26" s="40"/>
      <c r="D26" s="3" t="s">
        <v>73</v>
      </c>
      <c r="E26" s="3" t="s">
        <v>74</v>
      </c>
      <c r="F26" s="3">
        <v>3</v>
      </c>
      <c r="G26" s="9">
        <v>1620000</v>
      </c>
      <c r="H26" s="10"/>
      <c r="I26" s="10"/>
      <c r="J26" s="9">
        <v>99000</v>
      </c>
      <c r="K26" s="9">
        <f t="shared" si="0"/>
        <v>1719000</v>
      </c>
    </row>
    <row r="27" spans="1:11" ht="45.75" customHeight="1" x14ac:dyDescent="0.25">
      <c r="A27" s="40"/>
      <c r="B27" s="40"/>
      <c r="C27" s="40"/>
      <c r="D27" s="3" t="s">
        <v>70</v>
      </c>
      <c r="E27" s="3" t="s">
        <v>36</v>
      </c>
      <c r="F27" s="3">
        <v>3</v>
      </c>
      <c r="G27" s="9">
        <v>1800000</v>
      </c>
      <c r="H27" s="10">
        <v>589223</v>
      </c>
      <c r="I27" s="10">
        <v>328000</v>
      </c>
      <c r="J27" s="9">
        <v>99000</v>
      </c>
      <c r="K27" s="9">
        <f t="shared" si="0"/>
        <v>2816223</v>
      </c>
    </row>
    <row r="28" spans="1:11" ht="45.75" customHeight="1" x14ac:dyDescent="0.25">
      <c r="A28" s="40"/>
      <c r="B28" s="40"/>
      <c r="C28" s="40"/>
      <c r="D28" s="3" t="s">
        <v>71</v>
      </c>
      <c r="E28" s="3" t="s">
        <v>72</v>
      </c>
      <c r="F28" s="3">
        <v>2</v>
      </c>
      <c r="G28" s="9">
        <v>2620895</v>
      </c>
      <c r="H28" s="10"/>
      <c r="I28" s="10"/>
      <c r="J28" s="9">
        <v>725340</v>
      </c>
      <c r="K28" s="9">
        <f t="shared" si="0"/>
        <v>3346235</v>
      </c>
    </row>
    <row r="29" spans="1:11" ht="45.75" customHeight="1" x14ac:dyDescent="0.25">
      <c r="A29" s="40"/>
      <c r="B29" s="40"/>
      <c r="C29" s="40"/>
      <c r="D29" s="3" t="s">
        <v>80</v>
      </c>
      <c r="E29" s="3" t="s">
        <v>31</v>
      </c>
      <c r="F29" s="3">
        <v>3</v>
      </c>
      <c r="G29" s="9">
        <v>600000</v>
      </c>
      <c r="H29" s="10"/>
      <c r="I29" s="10">
        <v>282000</v>
      </c>
      <c r="J29" s="9">
        <v>99000</v>
      </c>
      <c r="K29" s="9">
        <f t="shared" si="0"/>
        <v>981000</v>
      </c>
    </row>
    <row r="30" spans="1:11" ht="45.75" customHeight="1" x14ac:dyDescent="0.25">
      <c r="A30" s="40"/>
      <c r="B30" s="40"/>
      <c r="C30" s="40"/>
      <c r="D30" s="3" t="s">
        <v>85</v>
      </c>
      <c r="E30" s="3" t="s">
        <v>36</v>
      </c>
      <c r="F30" s="3">
        <v>1</v>
      </c>
      <c r="G30" s="9"/>
      <c r="H30" s="10"/>
      <c r="I30" s="10"/>
      <c r="J30" s="9">
        <v>33000</v>
      </c>
      <c r="K30" s="9">
        <f t="shared" si="0"/>
        <v>33000</v>
      </c>
    </row>
    <row r="31" spans="1:11" ht="45.75" customHeight="1" x14ac:dyDescent="0.25">
      <c r="A31" s="40"/>
      <c r="B31" s="40"/>
      <c r="C31" s="40"/>
      <c r="D31" s="3" t="s">
        <v>86</v>
      </c>
      <c r="E31" s="3" t="s">
        <v>31</v>
      </c>
      <c r="F31" s="3">
        <v>1</v>
      </c>
      <c r="G31" s="9"/>
      <c r="H31" s="10"/>
      <c r="I31" s="10">
        <f>200000+719608</f>
        <v>919608</v>
      </c>
      <c r="J31" s="9">
        <v>33000</v>
      </c>
      <c r="K31" s="9">
        <f t="shared" si="0"/>
        <v>952608</v>
      </c>
    </row>
    <row r="32" spans="1:11" ht="45.75" customHeight="1" x14ac:dyDescent="0.25">
      <c r="A32" s="40"/>
      <c r="B32" s="40"/>
      <c r="C32" s="40"/>
      <c r="D32" s="3" t="s">
        <v>87</v>
      </c>
      <c r="E32" s="3" t="s">
        <v>31</v>
      </c>
      <c r="F32" s="3">
        <v>5</v>
      </c>
      <c r="G32" s="9">
        <v>2800000</v>
      </c>
      <c r="H32" s="10"/>
      <c r="I32" s="10">
        <f>282000+519034</f>
        <v>801034</v>
      </c>
      <c r="J32" s="9">
        <v>165000</v>
      </c>
      <c r="K32" s="9">
        <f t="shared" si="0"/>
        <v>3766034</v>
      </c>
    </row>
    <row r="33" spans="1:11" ht="45.75" customHeight="1" x14ac:dyDescent="0.25">
      <c r="A33" s="40"/>
      <c r="B33" s="40"/>
      <c r="C33" s="40"/>
      <c r="D33" s="3" t="s">
        <v>88</v>
      </c>
      <c r="E33" s="3" t="s">
        <v>57</v>
      </c>
      <c r="F33" s="3">
        <v>5</v>
      </c>
      <c r="G33" s="9">
        <v>1841000</v>
      </c>
      <c r="H33" s="10"/>
      <c r="I33" s="10">
        <v>893004</v>
      </c>
      <c r="J33" s="9">
        <v>165000</v>
      </c>
      <c r="K33" s="9">
        <f t="shared" si="0"/>
        <v>2899004</v>
      </c>
    </row>
    <row r="34" spans="1:11" ht="45.75" customHeight="1" x14ac:dyDescent="0.25">
      <c r="A34" s="40"/>
      <c r="B34" s="40"/>
      <c r="C34" s="40"/>
      <c r="D34" s="3" t="s">
        <v>89</v>
      </c>
      <c r="E34" s="3" t="s">
        <v>31</v>
      </c>
      <c r="F34" s="3">
        <v>1</v>
      </c>
      <c r="G34" s="9"/>
      <c r="H34" s="10"/>
      <c r="I34" s="10">
        <v>687983</v>
      </c>
      <c r="J34" s="9">
        <v>34000</v>
      </c>
      <c r="K34" s="9">
        <f t="shared" si="0"/>
        <v>721983</v>
      </c>
    </row>
    <row r="35" spans="1:11" ht="37.5" x14ac:dyDescent="0.25">
      <c r="A35" s="41"/>
      <c r="B35" s="41"/>
      <c r="C35" s="41"/>
      <c r="D35" s="3" t="s">
        <v>90</v>
      </c>
      <c r="E35" s="3" t="s">
        <v>30</v>
      </c>
      <c r="F35" s="3">
        <v>2</v>
      </c>
      <c r="G35" s="9">
        <v>750000</v>
      </c>
      <c r="H35" s="10"/>
      <c r="I35" s="10"/>
      <c r="J35" s="9">
        <v>68000</v>
      </c>
      <c r="K35" s="9">
        <f t="shared" si="0"/>
        <v>818000</v>
      </c>
    </row>
    <row r="36" spans="1:11" ht="34.5" customHeight="1" x14ac:dyDescent="0.25">
      <c r="A36" s="36" t="s">
        <v>13</v>
      </c>
      <c r="B36" s="36"/>
      <c r="C36" s="36"/>
      <c r="D36" s="36"/>
      <c r="E36" s="36"/>
      <c r="F36" s="36"/>
      <c r="G36" s="8">
        <f>SUM(G37:G51)</f>
        <v>25514084</v>
      </c>
      <c r="H36" s="8">
        <f t="shared" ref="H36:J36" si="1">SUM(H37:H51)</f>
        <v>857017</v>
      </c>
      <c r="I36" s="8">
        <f t="shared" si="1"/>
        <v>86933047</v>
      </c>
      <c r="J36" s="8">
        <f t="shared" si="1"/>
        <v>22220074</v>
      </c>
      <c r="K36" s="8">
        <f>SUM(K37:K51)</f>
        <v>135524222</v>
      </c>
    </row>
    <row r="37" spans="1:11" ht="34.5" customHeight="1" x14ac:dyDescent="0.25">
      <c r="A37" s="30">
        <v>2</v>
      </c>
      <c r="B37" s="33" t="s">
        <v>96</v>
      </c>
      <c r="C37" s="33" t="s">
        <v>97</v>
      </c>
      <c r="D37" s="3" t="s">
        <v>98</v>
      </c>
      <c r="E37" s="3" t="s">
        <v>50</v>
      </c>
      <c r="F37" s="3">
        <v>3</v>
      </c>
      <c r="G37" s="9">
        <v>5043545</v>
      </c>
      <c r="H37" s="9"/>
      <c r="I37" s="9">
        <v>10035407</v>
      </c>
      <c r="J37" s="9">
        <v>3808532</v>
      </c>
      <c r="K37" s="9">
        <f t="shared" si="0"/>
        <v>18887484</v>
      </c>
    </row>
    <row r="38" spans="1:11" ht="34.5" customHeight="1" x14ac:dyDescent="0.25">
      <c r="A38" s="31"/>
      <c r="B38" s="34"/>
      <c r="C38" s="34"/>
      <c r="D38" s="3" t="s">
        <v>100</v>
      </c>
      <c r="E38" s="3" t="s">
        <v>99</v>
      </c>
      <c r="F38" s="3">
        <v>4</v>
      </c>
      <c r="G38" s="9"/>
      <c r="H38" s="9"/>
      <c r="I38" s="9">
        <v>8320501</v>
      </c>
      <c r="J38" s="9"/>
      <c r="K38" s="9">
        <f t="shared" si="0"/>
        <v>8320501</v>
      </c>
    </row>
    <row r="39" spans="1:11" ht="34.5" customHeight="1" x14ac:dyDescent="0.25">
      <c r="A39" s="31"/>
      <c r="B39" s="34"/>
      <c r="C39" s="34"/>
      <c r="D39" s="3" t="s">
        <v>102</v>
      </c>
      <c r="E39" s="3" t="s">
        <v>101</v>
      </c>
      <c r="F39" s="3">
        <v>4</v>
      </c>
      <c r="G39" s="9">
        <v>4403024</v>
      </c>
      <c r="H39" s="9"/>
      <c r="I39" s="9">
        <v>9967267</v>
      </c>
      <c r="J39" s="9">
        <v>2556483</v>
      </c>
      <c r="K39" s="9">
        <f t="shared" si="0"/>
        <v>16926774</v>
      </c>
    </row>
    <row r="40" spans="1:11" ht="34.5" customHeight="1" x14ac:dyDescent="0.25">
      <c r="A40" s="32"/>
      <c r="B40" s="35"/>
      <c r="C40" s="35"/>
      <c r="D40" s="23"/>
      <c r="E40" s="23"/>
      <c r="F40" s="23"/>
      <c r="G40" s="8"/>
      <c r="H40" s="8"/>
      <c r="I40" s="8"/>
      <c r="J40" s="8"/>
      <c r="K40" s="8"/>
    </row>
    <row r="41" spans="1:11" ht="37.5" customHeight="1" x14ac:dyDescent="0.25">
      <c r="A41" s="33">
        <v>2</v>
      </c>
      <c r="B41" s="33" t="s">
        <v>32</v>
      </c>
      <c r="C41" s="33" t="s">
        <v>81</v>
      </c>
      <c r="D41" s="3" t="s">
        <v>79</v>
      </c>
      <c r="E41" s="3" t="s">
        <v>31</v>
      </c>
      <c r="F41" s="3">
        <v>4</v>
      </c>
      <c r="G41" s="9">
        <v>1207500</v>
      </c>
      <c r="H41" s="9">
        <f>282000+575017</f>
        <v>857017</v>
      </c>
      <c r="I41" s="9"/>
      <c r="J41" s="9">
        <v>132000</v>
      </c>
      <c r="K41" s="9">
        <f t="shared" si="0"/>
        <v>2196517</v>
      </c>
    </row>
    <row r="42" spans="1:11" ht="56.25" x14ac:dyDescent="0.25">
      <c r="A42" s="40"/>
      <c r="B42" s="40"/>
      <c r="C42" s="40"/>
      <c r="D42" s="3" t="s">
        <v>91</v>
      </c>
      <c r="E42" s="3" t="s">
        <v>92</v>
      </c>
      <c r="F42" s="3">
        <v>2</v>
      </c>
      <c r="G42" s="9"/>
      <c r="H42" s="9"/>
      <c r="I42" s="9"/>
      <c r="J42" s="9">
        <v>66000</v>
      </c>
      <c r="K42" s="9">
        <f t="shared" si="0"/>
        <v>66000</v>
      </c>
    </row>
    <row r="43" spans="1:11" ht="18.75" x14ac:dyDescent="0.25">
      <c r="A43" s="40"/>
      <c r="B43" s="40"/>
      <c r="C43" s="40"/>
      <c r="D43" s="3"/>
      <c r="E43" s="3"/>
      <c r="F43" s="3"/>
      <c r="G43" s="9"/>
      <c r="H43" s="9"/>
      <c r="I43" s="9"/>
      <c r="J43" s="9"/>
      <c r="K43" s="9">
        <f t="shared" si="0"/>
        <v>0</v>
      </c>
    </row>
    <row r="44" spans="1:11" ht="18.75" x14ac:dyDescent="0.25">
      <c r="A44" s="40"/>
      <c r="B44" s="40"/>
      <c r="C44" s="40"/>
      <c r="D44" s="3"/>
      <c r="E44" s="3"/>
      <c r="F44" s="3"/>
      <c r="G44" s="9"/>
      <c r="H44" s="9"/>
      <c r="I44" s="9"/>
      <c r="J44" s="9"/>
      <c r="K44" s="9">
        <f t="shared" si="0"/>
        <v>0</v>
      </c>
    </row>
    <row r="45" spans="1:11" ht="18.75" x14ac:dyDescent="0.25">
      <c r="A45" s="41"/>
      <c r="B45" s="41"/>
      <c r="C45" s="41"/>
      <c r="D45" s="3"/>
      <c r="E45" s="3"/>
      <c r="F45" s="3"/>
      <c r="G45" s="9"/>
      <c r="H45" s="9"/>
      <c r="I45" s="9"/>
      <c r="J45" s="9"/>
      <c r="K45" s="9">
        <f>I45+J45</f>
        <v>0</v>
      </c>
    </row>
    <row r="46" spans="1:11" ht="37.5" x14ac:dyDescent="0.25">
      <c r="A46" s="33">
        <v>3</v>
      </c>
      <c r="B46" s="33" t="s">
        <v>33</v>
      </c>
      <c r="C46" s="33" t="s">
        <v>81</v>
      </c>
      <c r="D46" s="3" t="s">
        <v>43</v>
      </c>
      <c r="E46" s="3" t="s">
        <v>44</v>
      </c>
      <c r="F46" s="3">
        <v>6</v>
      </c>
      <c r="G46" s="9"/>
      <c r="H46" s="9"/>
      <c r="I46" s="9">
        <f>171000+328000</f>
        <v>499000</v>
      </c>
      <c r="J46" s="9">
        <v>180000</v>
      </c>
      <c r="K46" s="9">
        <f t="shared" si="0"/>
        <v>679000</v>
      </c>
    </row>
    <row r="47" spans="1:11" ht="37.5" x14ac:dyDescent="0.25">
      <c r="A47" s="40"/>
      <c r="B47" s="40"/>
      <c r="C47" s="40"/>
      <c r="D47" s="3" t="s">
        <v>45</v>
      </c>
      <c r="E47" s="3" t="s">
        <v>35</v>
      </c>
      <c r="F47" s="3">
        <v>2</v>
      </c>
      <c r="G47" s="9"/>
      <c r="H47" s="9"/>
      <c r="I47" s="9">
        <v>1379833</v>
      </c>
      <c r="J47" s="9">
        <v>60000</v>
      </c>
      <c r="K47" s="9">
        <f t="shared" si="0"/>
        <v>1439833</v>
      </c>
    </row>
    <row r="48" spans="1:11" ht="37.5" x14ac:dyDescent="0.25">
      <c r="A48" s="40"/>
      <c r="B48" s="40"/>
      <c r="C48" s="40"/>
      <c r="D48" s="3" t="s">
        <v>62</v>
      </c>
      <c r="E48" s="3" t="s">
        <v>31</v>
      </c>
      <c r="F48" s="3">
        <v>6</v>
      </c>
      <c r="G48" s="9">
        <v>2976000</v>
      </c>
      <c r="H48" s="9"/>
      <c r="I48" s="9">
        <v>146000</v>
      </c>
      <c r="J48" s="9">
        <v>180000</v>
      </c>
      <c r="K48" s="9">
        <f t="shared" si="0"/>
        <v>3302000</v>
      </c>
    </row>
    <row r="49" spans="1:11" ht="37.5" x14ac:dyDescent="0.25">
      <c r="A49" s="40"/>
      <c r="B49" s="40"/>
      <c r="C49" s="40"/>
      <c r="D49" s="3" t="s">
        <v>63</v>
      </c>
      <c r="E49" s="3" t="s">
        <v>35</v>
      </c>
      <c r="F49" s="3">
        <v>3</v>
      </c>
      <c r="G49" s="9">
        <v>1442000</v>
      </c>
      <c r="H49" s="9"/>
      <c r="I49" s="9">
        <f>773034+1207198</f>
        <v>1980232</v>
      </c>
      <c r="J49" s="9">
        <v>90000</v>
      </c>
      <c r="K49" s="9">
        <f t="shared" si="0"/>
        <v>3512232</v>
      </c>
    </row>
    <row r="50" spans="1:11" ht="36.75" customHeight="1" x14ac:dyDescent="0.25">
      <c r="A50" s="40"/>
      <c r="B50" s="40"/>
      <c r="C50" s="40"/>
      <c r="D50" s="15" t="s">
        <v>64</v>
      </c>
      <c r="E50" s="15" t="s">
        <v>50</v>
      </c>
      <c r="F50" s="15">
        <v>6</v>
      </c>
      <c r="G50" s="10">
        <f>7585974+377000+101000</f>
        <v>8063974</v>
      </c>
      <c r="H50" s="10"/>
      <c r="I50" s="10">
        <v>14351101</v>
      </c>
      <c r="J50" s="10">
        <v>6779112</v>
      </c>
      <c r="K50" s="10">
        <f t="shared" ref="K50" si="2">G50+H50+J50+I50</f>
        <v>29194187</v>
      </c>
    </row>
    <row r="51" spans="1:11" ht="37.5" x14ac:dyDescent="0.25">
      <c r="A51" s="41"/>
      <c r="B51" s="41"/>
      <c r="C51" s="41"/>
      <c r="D51" s="15" t="s">
        <v>76</v>
      </c>
      <c r="E51" s="15" t="s">
        <v>77</v>
      </c>
      <c r="F51" s="15">
        <v>4</v>
      </c>
      <c r="G51" s="10">
        <v>2378041</v>
      </c>
      <c r="H51" s="10"/>
      <c r="I51" s="10">
        <v>40253706</v>
      </c>
      <c r="J51" s="10">
        <v>8367947</v>
      </c>
      <c r="K51" s="10">
        <f t="shared" si="0"/>
        <v>50999694</v>
      </c>
    </row>
    <row r="52" spans="1:11" ht="37.5" x14ac:dyDescent="0.25">
      <c r="A52" s="33">
        <v>4</v>
      </c>
      <c r="B52" s="33" t="s">
        <v>93</v>
      </c>
      <c r="C52" s="33" t="s">
        <v>81</v>
      </c>
      <c r="D52" s="3" t="s">
        <v>94</v>
      </c>
      <c r="E52" s="3" t="s">
        <v>35</v>
      </c>
      <c r="F52" s="3">
        <v>1</v>
      </c>
      <c r="G52" s="9"/>
      <c r="H52" s="9"/>
      <c r="I52" s="9"/>
      <c r="J52" s="9">
        <v>34000</v>
      </c>
      <c r="K52" s="9">
        <f t="shared" ref="K52:K55" si="3">G52+H52+J52+I52</f>
        <v>34000</v>
      </c>
    </row>
    <row r="53" spans="1:11" ht="18.75" x14ac:dyDescent="0.25">
      <c r="A53" s="40"/>
      <c r="B53" s="40"/>
      <c r="C53" s="40"/>
      <c r="D53" s="3"/>
      <c r="E53" s="3"/>
      <c r="F53" s="3"/>
      <c r="G53" s="9"/>
      <c r="H53" s="9"/>
      <c r="I53" s="9"/>
      <c r="J53" s="9"/>
      <c r="K53" s="9">
        <f t="shared" si="3"/>
        <v>0</v>
      </c>
    </row>
    <row r="54" spans="1:11" ht="18.75" x14ac:dyDescent="0.25">
      <c r="A54" s="40"/>
      <c r="B54" s="40"/>
      <c r="C54" s="40"/>
      <c r="D54" s="3"/>
      <c r="E54" s="3"/>
      <c r="F54" s="3"/>
      <c r="G54" s="9"/>
      <c r="H54" s="9"/>
      <c r="I54" s="9"/>
      <c r="J54" s="9"/>
      <c r="K54" s="9">
        <f t="shared" si="3"/>
        <v>0</v>
      </c>
    </row>
    <row r="55" spans="1:11" ht="18.75" x14ac:dyDescent="0.25">
      <c r="A55" s="40"/>
      <c r="B55" s="40"/>
      <c r="C55" s="40"/>
      <c r="D55" s="3"/>
      <c r="E55" s="3"/>
      <c r="F55" s="3"/>
      <c r="G55" s="9"/>
      <c r="H55" s="9"/>
      <c r="I55" s="9"/>
      <c r="J55" s="9"/>
      <c r="K55" s="9">
        <f t="shared" si="3"/>
        <v>0</v>
      </c>
    </row>
    <row r="56" spans="1:11" ht="18.75" x14ac:dyDescent="0.25">
      <c r="A56" s="41"/>
      <c r="B56" s="41"/>
      <c r="C56" s="41"/>
      <c r="D56" s="3"/>
      <c r="E56" s="3"/>
      <c r="F56" s="3"/>
      <c r="G56" s="9"/>
      <c r="H56" s="9"/>
      <c r="I56" s="9"/>
      <c r="J56" s="9"/>
      <c r="K56" s="9">
        <f>I56+J56</f>
        <v>0</v>
      </c>
    </row>
  </sheetData>
  <mergeCells count="29">
    <mergeCell ref="A36:F36"/>
    <mergeCell ref="B10:B35"/>
    <mergeCell ref="A10:A35"/>
    <mergeCell ref="C10:C35"/>
    <mergeCell ref="A52:A56"/>
    <mergeCell ref="B52:B56"/>
    <mergeCell ref="C52:C56"/>
    <mergeCell ref="C41:C45"/>
    <mergeCell ref="A46:A51"/>
    <mergeCell ref="B46:B51"/>
    <mergeCell ref="C46:C51"/>
    <mergeCell ref="B41:B45"/>
    <mergeCell ref="A41:A45"/>
    <mergeCell ref="A37:A40"/>
    <mergeCell ref="B37:B40"/>
    <mergeCell ref="C37:C40"/>
    <mergeCell ref="A8:F8"/>
    <mergeCell ref="A3:K3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  <mergeCell ref="A9:F9"/>
  </mergeCells>
  <pageMargins left="3.937007874015748E-2" right="3.937007874015748E-2" top="0.15748031496062992" bottom="0.15748031496062992" header="0.19685039370078741" footer="0.11811023622047245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Хизмат сафари</vt:lpstr>
      <vt:lpstr>мансабдор шахслар хизмат сафари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2024-01-25T10:10:59Z</dcterms:modified>
</cp:coreProperties>
</file>